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75" windowWidth="14175" windowHeight="8535" tabRatio="271"/>
  </bookViews>
  <sheets>
    <sheet name="Example 15-13" sheetId="1" r:id="rId1"/>
    <sheet name="Sheet2" sheetId="2" r:id="rId2"/>
    <sheet name="Sheet3" sheetId="3" r:id="rId3"/>
  </sheets>
  <definedNames>
    <definedName name="solver_adj" localSheetId="0" hidden="1">'Example 15-13'!$C$83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'Example 15-13'!$C$86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G65" i="1"/>
  <c r="B57"/>
  <c r="B64" s="1"/>
  <c r="B63"/>
  <c r="B62"/>
  <c r="C31"/>
  <c r="C32" s="1"/>
  <c r="F107"/>
  <c r="E36"/>
  <c r="E37"/>
  <c r="E38"/>
  <c r="C40" s="1"/>
  <c r="C44"/>
  <c r="C95" s="1"/>
  <c r="F44"/>
  <c r="F46" s="1"/>
  <c r="B47"/>
  <c r="C91"/>
  <c r="I80"/>
  <c r="K80"/>
  <c r="I81"/>
  <c r="K81"/>
  <c r="I82"/>
  <c r="K82"/>
  <c r="C79"/>
  <c r="C80" s="1"/>
  <c r="C103" l="1"/>
  <c r="C107" s="1"/>
  <c r="B49"/>
  <c r="B51" s="1"/>
  <c r="B53" s="1"/>
  <c r="M80"/>
  <c r="M81"/>
  <c r="C57"/>
  <c r="B65"/>
  <c r="C66" s="1"/>
  <c r="C67" s="1"/>
  <c r="C71" s="1"/>
  <c r="I65"/>
  <c r="M82"/>
  <c r="H67" l="1"/>
  <c r="H68" s="1"/>
  <c r="M83"/>
  <c r="C75" s="1"/>
  <c r="C86" s="1"/>
</calcChain>
</file>

<file path=xl/sharedStrings.xml><?xml version="1.0" encoding="utf-8"?>
<sst xmlns="http://schemas.openxmlformats.org/spreadsheetml/2006/main" count="192" uniqueCount="153">
  <si>
    <t>DELP=</t>
  </si>
  <si>
    <t>bar</t>
  </si>
  <si>
    <t>Fittings</t>
  </si>
  <si>
    <t>Elbows</t>
  </si>
  <si>
    <t>Threaded,standard</t>
  </si>
  <si>
    <t>r/D=1</t>
  </si>
  <si>
    <t>Km</t>
  </si>
  <si>
    <t>K1</t>
  </si>
  <si>
    <t>Kd</t>
  </si>
  <si>
    <t>Threaded,long radius</t>
  </si>
  <si>
    <t>r/D=1.5</t>
  </si>
  <si>
    <t>Flanged, welded, bends</t>
  </si>
  <si>
    <t>3-K Constants for Loss Coefficients for Valves and Fittings</t>
  </si>
  <si>
    <t>r/D=2</t>
  </si>
  <si>
    <t>r/D=4</t>
  </si>
  <si>
    <t>r/D=6</t>
  </si>
  <si>
    <t>Mitered</t>
  </si>
  <si>
    <t>3 weld, 30o</t>
  </si>
  <si>
    <t>2 weld, 45o</t>
  </si>
  <si>
    <t>1 weld, 90o</t>
  </si>
  <si>
    <t xml:space="preserve">Elbows </t>
  </si>
  <si>
    <t>45o</t>
  </si>
  <si>
    <t>90o</t>
  </si>
  <si>
    <t>Threaded, standard</t>
  </si>
  <si>
    <t>Long radius</t>
  </si>
  <si>
    <t>Mitered,  1 weld</t>
  </si>
  <si>
    <t>Mitered,  2 weld</t>
  </si>
  <si>
    <t>22.5o</t>
  </si>
  <si>
    <t>Threaded,</t>
  </si>
  <si>
    <t>Close return bend</t>
  </si>
  <si>
    <t>180o</t>
  </si>
  <si>
    <t>Flanged</t>
  </si>
  <si>
    <t>All</t>
  </si>
  <si>
    <t>Tees</t>
  </si>
  <si>
    <t>Through-branch</t>
  </si>
  <si>
    <t>(as elbow</t>
  </si>
  <si>
    <t>Threaded</t>
  </si>
  <si>
    <t>Stub-in-branch</t>
  </si>
  <si>
    <t>Run through threaded</t>
  </si>
  <si>
    <t>Valves</t>
  </si>
  <si>
    <t>Angle valve-45o</t>
  </si>
  <si>
    <t>Angle valve-90o</t>
  </si>
  <si>
    <t>Globe valve</t>
  </si>
  <si>
    <t>Standard, beta=1</t>
  </si>
  <si>
    <t>Plug valve</t>
  </si>
  <si>
    <t>Branch flow</t>
  </si>
  <si>
    <t>Straight through</t>
  </si>
  <si>
    <t>Three-way</t>
  </si>
  <si>
    <t>(flow through)</t>
  </si>
  <si>
    <t>Gate valve</t>
  </si>
  <si>
    <t>Ball valve</t>
  </si>
  <si>
    <t>Diaphragm</t>
  </si>
  <si>
    <t>Dam-type</t>
  </si>
  <si>
    <t>Swing check**</t>
  </si>
  <si>
    <t>Standard, β=1</t>
  </si>
  <si>
    <t>Full line size β=1</t>
  </si>
  <si>
    <t>Lift check**</t>
  </si>
  <si>
    <t>Vmin=40ρ-½</t>
  </si>
  <si>
    <t>The vapor  (C3, C4 and C5) from a debutanizer C1007 is cooled via an air cooller condenser E1031</t>
  </si>
  <si>
    <t>to the accumulator vessel V1008. The overhead gas line is 84.7 m and the boil up rate is 17 kg/s</t>
  </si>
  <si>
    <t>to the air cooler condenser. Data from piping isometrics, data sheets and fluid</t>
  </si>
  <si>
    <t>characteristics are:</t>
  </si>
  <si>
    <t>Ratio of specific heats, (Cp/Cv) =</t>
  </si>
  <si>
    <t>Kinematic viscosity, cSt=</t>
  </si>
  <si>
    <t>Compressibility factor, Z=</t>
  </si>
  <si>
    <t>Fittings:</t>
  </si>
  <si>
    <t>Number</t>
  </si>
  <si>
    <t>90o Elbows</t>
  </si>
  <si>
    <t>Tee (straight Thru)</t>
  </si>
  <si>
    <t>Pipe Length, m</t>
  </si>
  <si>
    <t>bara</t>
  </si>
  <si>
    <t>m</t>
  </si>
  <si>
    <t>cSt</t>
  </si>
  <si>
    <t>Vapor rate=</t>
  </si>
  <si>
    <t>kg/s</t>
  </si>
  <si>
    <t>Solution:</t>
  </si>
  <si>
    <t>Dyanamic viscosity, μ=</t>
  </si>
  <si>
    <t>kg/m.s</t>
  </si>
  <si>
    <t>cP</t>
  </si>
  <si>
    <t>Average molecular weight of C3, C4 and C5 is:</t>
  </si>
  <si>
    <t xml:space="preserve">Molecular weight of C3H8 = </t>
  </si>
  <si>
    <t xml:space="preserve">Molecular weight of C4H10 = </t>
  </si>
  <si>
    <t>Molecular weight of C5H12=</t>
  </si>
  <si>
    <t>Average molecular weight=</t>
  </si>
  <si>
    <t>Percent of vapor</t>
  </si>
  <si>
    <t>kg/kmol</t>
  </si>
  <si>
    <t>Pipe internal diameter, 8-inch, Schedule 40=</t>
  </si>
  <si>
    <t>mm</t>
  </si>
  <si>
    <t>Pipe nominal diameter, 8-inch, Schedule 40=</t>
  </si>
  <si>
    <t>Solution</t>
  </si>
  <si>
    <t>Gas velocity, v=</t>
  </si>
  <si>
    <t>m/s</t>
  </si>
  <si>
    <t>Sonic velocity, vs=</t>
  </si>
  <si>
    <t>Absolute temperature, K=</t>
  </si>
  <si>
    <t>Mach Number</t>
  </si>
  <si>
    <t>Reynold Number:</t>
  </si>
  <si>
    <t>Re=</t>
  </si>
  <si>
    <t>Friction Factor, f</t>
  </si>
  <si>
    <t>Pipe roughness e=</t>
  </si>
  <si>
    <t>e/D</t>
  </si>
  <si>
    <t>A=</t>
  </si>
  <si>
    <t>SUM=</t>
  </si>
  <si>
    <t>K=f*L/D=</t>
  </si>
  <si>
    <t>Loss coefficient for valves and fittings using the 3-K Method:</t>
  </si>
  <si>
    <t>nKm</t>
  </si>
  <si>
    <t>nK1</t>
  </si>
  <si>
    <t>Tee (st. Thru)</t>
  </si>
  <si>
    <t>Total</t>
  </si>
  <si>
    <t>Kf</t>
  </si>
  <si>
    <t>G/C1=</t>
  </si>
  <si>
    <t>(G/C1)^2=</t>
  </si>
  <si>
    <t>Pressure drop, DELP</t>
  </si>
  <si>
    <t xml:space="preserve">Using Solver Method </t>
  </si>
  <si>
    <t>F(P2)=</t>
  </si>
  <si>
    <t>K</t>
  </si>
  <si>
    <t>Loss coefficient due to pipe</t>
  </si>
  <si>
    <t>Since the process is isothermal  (i.e. constant temperature, T2 = T1)</t>
  </si>
  <si>
    <t>T2</t>
  </si>
  <si>
    <t>Density of the vapor at the exit is:</t>
  </si>
  <si>
    <t>Flow velocity at pipe exit is:</t>
  </si>
  <si>
    <t>v</t>
  </si>
  <si>
    <t>Pipe Area</t>
  </si>
  <si>
    <t>Gas velocity</t>
  </si>
  <si>
    <t>Exit Mach number</t>
  </si>
  <si>
    <t>A4=</t>
  </si>
  <si>
    <t>A5=</t>
  </si>
  <si>
    <t>Churchill  friction factor, f=</t>
  </si>
  <si>
    <t>Pipe roughness, ε=</t>
  </si>
  <si>
    <t>Inlet Mach number, v/vs=</t>
  </si>
  <si>
    <t>Fanning Friction factor=</t>
  </si>
  <si>
    <t>3-K Constants for Loss Coefficients for Valves and Fittings by Darby</t>
  </si>
  <si>
    <t>Type of fluid flow:</t>
  </si>
  <si>
    <t>The top of the unit operates at 17.6 bara. Calculate the pressure drop along the 8" pipe</t>
  </si>
  <si>
    <r>
      <t>D</t>
    </r>
    <r>
      <rPr>
        <vertAlign val="subscript"/>
        <sz val="14"/>
        <rFont val="Times New Roman"/>
        <family val="1"/>
      </rPr>
      <t>n</t>
    </r>
    <r>
      <rPr>
        <sz val="14"/>
        <rFont val="Times New Roman"/>
        <family val="1"/>
      </rPr>
      <t xml:space="preserve"> = Nominal pipe diameter</t>
    </r>
  </si>
  <si>
    <r>
      <t xml:space="preserve">Operating temperature, </t>
    </r>
    <r>
      <rPr>
        <vertAlign val="superscript"/>
        <sz val="14"/>
        <rFont val="Times New Roman"/>
        <family val="1"/>
      </rPr>
      <t>o</t>
    </r>
    <r>
      <rPr>
        <sz val="14"/>
        <rFont val="Times New Roman"/>
        <family val="1"/>
      </rPr>
      <t>C=</t>
    </r>
  </si>
  <si>
    <r>
      <t>o</t>
    </r>
    <r>
      <rPr>
        <sz val="14"/>
        <rFont val="Times New Roman"/>
        <family val="1"/>
      </rPr>
      <t>C</t>
    </r>
  </si>
  <si>
    <r>
      <t>Fluid density, kg/m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=</t>
    </r>
  </si>
  <si>
    <r>
      <t>kg/m</t>
    </r>
    <r>
      <rPr>
        <vertAlign val="superscript"/>
        <sz val="14"/>
        <rFont val="Times New Roman"/>
        <family val="1"/>
      </rPr>
      <t>3</t>
    </r>
  </si>
  <si>
    <r>
      <t>Operating pressure, P</t>
    </r>
    <r>
      <rPr>
        <vertAlign val="subscript"/>
        <sz val="14"/>
        <rFont val="Times New Roman"/>
        <family val="1"/>
      </rPr>
      <t>1</t>
    </r>
    <r>
      <rPr>
        <sz val="14"/>
        <rFont val="Times New Roman"/>
        <family val="1"/>
      </rPr>
      <t>=</t>
    </r>
  </si>
  <si>
    <r>
      <t>m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>/h</t>
    </r>
  </si>
  <si>
    <r>
      <t>m</t>
    </r>
    <r>
      <rPr>
        <vertAlign val="superscript"/>
        <sz val="14"/>
        <rFont val="Times New Roman"/>
        <family val="1"/>
      </rPr>
      <t>2</t>
    </r>
  </si>
  <si>
    <r>
      <t>Vmin=35ρ</t>
    </r>
    <r>
      <rPr>
        <vertAlign val="superscript"/>
        <sz val="14"/>
        <rFont val="Times New Roman"/>
        <family val="1"/>
      </rPr>
      <t>-½</t>
    </r>
  </si>
  <si>
    <r>
      <t>* See equation  ** Units of ρ are lb</t>
    </r>
    <r>
      <rPr>
        <vertAlign val="subscript"/>
        <sz val="14"/>
        <rFont val="Times New Roman"/>
        <family val="1"/>
      </rPr>
      <t>m</t>
    </r>
    <r>
      <rPr>
        <sz val="14"/>
        <rFont val="Times New Roman"/>
        <family val="1"/>
      </rPr>
      <t>/ft</t>
    </r>
    <r>
      <rPr>
        <vertAlign val="superscript"/>
        <sz val="14"/>
        <rFont val="Times New Roman"/>
        <family val="1"/>
      </rPr>
      <t>3</t>
    </r>
    <r>
      <rPr>
        <sz val="14"/>
        <rFont val="Times New Roman"/>
        <family val="1"/>
      </rPr>
      <t xml:space="preserve"> [Darby, Chem. Eng., 101-104, (July 199)]</t>
    </r>
  </si>
  <si>
    <r>
      <t>Chen's Friction factor, f</t>
    </r>
    <r>
      <rPr>
        <vertAlign val="subscript"/>
        <sz val="14"/>
        <rFont val="Times New Roman"/>
        <family val="1"/>
      </rPr>
      <t>C</t>
    </r>
    <r>
      <rPr>
        <sz val="14"/>
        <rFont val="Times New Roman"/>
        <family val="1"/>
      </rPr>
      <t>=</t>
    </r>
  </si>
  <si>
    <r>
      <t>Darcy Friction factor, f</t>
    </r>
    <r>
      <rPr>
        <vertAlign val="subscript"/>
        <sz val="14"/>
        <rFont val="Times New Roman"/>
        <family val="1"/>
      </rPr>
      <t>D</t>
    </r>
    <r>
      <rPr>
        <sz val="14"/>
        <rFont val="Times New Roman"/>
        <family val="1"/>
      </rPr>
      <t xml:space="preserve"> =</t>
    </r>
  </si>
  <si>
    <r>
      <t>Total loss coefficient K</t>
    </r>
    <r>
      <rPr>
        <vertAlign val="subscript"/>
        <sz val="14"/>
        <rFont val="Times New Roman"/>
        <family val="1"/>
      </rPr>
      <t xml:space="preserve">TOTAL  </t>
    </r>
    <r>
      <rPr>
        <sz val="14"/>
        <rFont val="Times New Roman"/>
        <family val="1"/>
      </rPr>
      <t>=</t>
    </r>
  </si>
  <si>
    <r>
      <t>Outlet pressure, P</t>
    </r>
    <r>
      <rPr>
        <vertAlign val="subscript"/>
        <sz val="14"/>
        <rFont val="Times New Roman"/>
        <family val="1"/>
      </rPr>
      <t>2</t>
    </r>
  </si>
  <si>
    <r>
      <t>90</t>
    </r>
    <r>
      <rPr>
        <vertAlign val="superscript"/>
        <sz val="14"/>
        <rFont val="Times New Roman"/>
        <family val="1"/>
      </rPr>
      <t>o</t>
    </r>
    <r>
      <rPr>
        <sz val="14"/>
        <rFont val="Times New Roman"/>
        <family val="1"/>
      </rPr>
      <t>ELL</t>
    </r>
  </si>
  <si>
    <r>
      <t>P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=</t>
    </r>
  </si>
  <si>
    <r>
      <t>Ma</t>
    </r>
    <r>
      <rPr>
        <vertAlign val="subscript"/>
        <sz val="14"/>
        <rFont val="Times New Roman"/>
        <family val="1"/>
      </rPr>
      <t>2</t>
    </r>
  </si>
  <si>
    <t>e/3.7D</t>
  </si>
  <si>
    <t>Example 15-13.  Pressure drop for compressible fluid flow using isothermal condition by A.K. Coker</t>
  </si>
  <si>
    <t>Figure 15-20.  Piping and Instrumentation diagram of the debutanizer pump accumulator unit 100.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</si>
</sst>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vertAlign val="subscript"/>
      <sz val="14"/>
      <name val="Times New Roman"/>
      <family val="1"/>
    </font>
    <font>
      <vertAlign val="superscript"/>
      <sz val="14"/>
      <name val="Times New Roman"/>
      <family val="1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7" xfId="0" applyFont="1" applyFill="1" applyBorder="1"/>
    <xf numFmtId="0" fontId="4" fillId="0" borderId="0" xfId="0" applyFont="1"/>
    <xf numFmtId="0" fontId="5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2" fontId="2" fillId="0" borderId="0" xfId="0" applyNumberFormat="1" applyFont="1"/>
    <xf numFmtId="0" fontId="2" fillId="0" borderId="0" xfId="0" applyNumberFormat="1" applyFont="1"/>
    <xf numFmtId="0" fontId="2" fillId="0" borderId="0" xfId="0" applyFont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2" fillId="3" borderId="0" xfId="0" applyFont="1" applyFill="1" applyBorder="1"/>
    <xf numFmtId="0" fontId="5" fillId="3" borderId="0" xfId="0" applyFont="1" applyFill="1" applyBorder="1"/>
    <xf numFmtId="0" fontId="6" fillId="0" borderId="0" xfId="0" applyFont="1"/>
    <xf numFmtId="0" fontId="2" fillId="4" borderId="0" xfId="0" applyFont="1" applyFill="1"/>
    <xf numFmtId="0" fontId="0" fillId="4" borderId="0" xfId="0" applyFill="1"/>
    <xf numFmtId="0" fontId="6" fillId="4" borderId="0" xfId="0" applyFont="1" applyFill="1"/>
    <xf numFmtId="0" fontId="2" fillId="4" borderId="7" xfId="0" applyFont="1" applyFill="1" applyBorder="1"/>
    <xf numFmtId="0" fontId="2" fillId="4" borderId="7" xfId="0" applyFont="1" applyFill="1" applyBorder="1" applyAlignment="1">
      <alignment horizontal="left"/>
    </xf>
    <xf numFmtId="0" fontId="7" fillId="0" borderId="0" xfId="0" applyFont="1"/>
    <xf numFmtId="0" fontId="0" fillId="4" borderId="8" xfId="0" applyFill="1" applyBorder="1"/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0</xdr:row>
      <xdr:rowOff>95250</xdr:rowOff>
    </xdr:from>
    <xdr:ext cx="76200" cy="200025"/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4648200" y="95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tabSelected="1" workbookViewId="0">
      <selection activeCell="F93" sqref="F93"/>
    </sheetView>
  </sheetViews>
  <sheetFormatPr defaultRowHeight="12.75"/>
  <cols>
    <col min="1" max="1" width="20.5703125" customWidth="1"/>
    <col min="2" max="2" width="19.28515625" customWidth="1"/>
    <col min="3" max="3" width="16.7109375" customWidth="1"/>
    <col min="5" max="5" width="20.42578125" customWidth="1"/>
    <col min="6" max="6" width="16.140625" customWidth="1"/>
    <col min="7" max="7" width="16.140625" bestFit="1" customWidth="1"/>
    <col min="9" max="9" width="10.28515625" customWidth="1"/>
    <col min="10" max="10" width="23.85546875" customWidth="1"/>
    <col min="11" max="11" width="26.42578125" customWidth="1"/>
    <col min="12" max="12" width="24.140625" customWidth="1"/>
  </cols>
  <sheetData>
    <row r="1" spans="1:18" ht="18.75">
      <c r="A1" s="1" t="s">
        <v>151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8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>
      <c r="A3" s="2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.75">
      <c r="A4" s="2" t="s">
        <v>59</v>
      </c>
      <c r="B4" s="2"/>
      <c r="C4" s="2"/>
      <c r="D4" s="2"/>
      <c r="E4" s="2"/>
      <c r="F4" s="2"/>
      <c r="G4" s="2"/>
      <c r="H4" s="2"/>
      <c r="P4" s="2"/>
      <c r="Q4" s="2"/>
      <c r="R4" s="2"/>
    </row>
    <row r="5" spans="1:18" ht="18.75">
      <c r="A5" s="2" t="s">
        <v>132</v>
      </c>
      <c r="B5" s="2"/>
      <c r="C5" s="2"/>
      <c r="D5" s="2"/>
      <c r="E5" s="2"/>
      <c r="F5" s="2"/>
      <c r="G5" s="2"/>
      <c r="H5" s="2"/>
      <c r="P5" s="2"/>
      <c r="Q5" s="2"/>
      <c r="R5" s="2"/>
    </row>
    <row r="6" spans="1:18" ht="18.75">
      <c r="A6" s="2" t="s">
        <v>60</v>
      </c>
      <c r="B6" s="2"/>
      <c r="C6" s="2"/>
      <c r="D6" s="2"/>
      <c r="E6" s="2"/>
      <c r="F6" s="2"/>
      <c r="G6" s="2"/>
      <c r="H6" s="2"/>
      <c r="P6" s="2"/>
      <c r="Q6" s="2"/>
      <c r="R6" s="2"/>
    </row>
    <row r="7" spans="1:18" ht="18.75">
      <c r="A7" s="2" t="s">
        <v>61</v>
      </c>
      <c r="B7" s="2"/>
      <c r="C7" s="2"/>
      <c r="D7" s="2"/>
      <c r="E7" s="2"/>
      <c r="F7" s="2"/>
      <c r="G7" s="2"/>
      <c r="H7" s="2"/>
      <c r="J7" s="24" t="s">
        <v>12</v>
      </c>
      <c r="K7" s="26"/>
      <c r="L7" s="24"/>
      <c r="M7" s="24"/>
      <c r="N7" s="23"/>
      <c r="O7" s="23"/>
      <c r="P7" s="27"/>
      <c r="R7" s="2"/>
    </row>
    <row r="8" spans="1:18" ht="18.75">
      <c r="A8" s="2"/>
      <c r="B8" s="2"/>
      <c r="C8" s="2"/>
      <c r="D8" s="2"/>
      <c r="E8" s="2"/>
      <c r="F8" s="2"/>
      <c r="G8" s="2"/>
      <c r="H8" s="2"/>
      <c r="J8" s="23"/>
      <c r="K8" s="23"/>
      <c r="L8" s="23"/>
      <c r="M8" s="23"/>
      <c r="N8" s="23"/>
      <c r="O8" s="23"/>
      <c r="P8" s="27"/>
      <c r="R8" s="2"/>
    </row>
    <row r="9" spans="1:18" ht="22.5">
      <c r="A9" s="2" t="s">
        <v>134</v>
      </c>
      <c r="B9" s="2"/>
      <c r="C9" s="2"/>
      <c r="D9" s="2">
        <v>86</v>
      </c>
      <c r="E9" s="4" t="s">
        <v>135</v>
      </c>
      <c r="F9" s="2"/>
      <c r="G9" s="2"/>
      <c r="H9" s="2"/>
      <c r="J9" s="24"/>
      <c r="K9" s="23"/>
      <c r="L9" s="23"/>
      <c r="M9" s="23"/>
      <c r="N9" s="24"/>
      <c r="O9" s="24"/>
      <c r="P9" s="27"/>
      <c r="R9" s="2"/>
    </row>
    <row r="10" spans="1:18" ht="23.25">
      <c r="A10" s="2" t="s">
        <v>136</v>
      </c>
      <c r="B10" s="2"/>
      <c r="C10" s="2"/>
      <c r="D10" s="2">
        <v>35.200000000000003</v>
      </c>
      <c r="E10" s="2" t="s">
        <v>137</v>
      </c>
      <c r="F10" s="2"/>
      <c r="G10" s="2"/>
      <c r="H10" s="2"/>
      <c r="J10" s="24"/>
      <c r="K10" s="24" t="s">
        <v>133</v>
      </c>
      <c r="L10" s="24"/>
      <c r="M10" s="24"/>
      <c r="N10" s="24"/>
      <c r="O10" s="24"/>
      <c r="P10" s="27"/>
      <c r="R10" s="2"/>
    </row>
    <row r="11" spans="1:18" ht="18.75">
      <c r="A11" s="2" t="s">
        <v>62</v>
      </c>
      <c r="B11" s="2"/>
      <c r="C11" s="2"/>
      <c r="D11" s="2">
        <v>1.1100000000000001</v>
      </c>
      <c r="E11" s="2"/>
      <c r="F11" s="2"/>
      <c r="G11" s="2"/>
      <c r="H11" s="2"/>
      <c r="J11" s="24"/>
      <c r="K11" s="23"/>
      <c r="L11" s="24"/>
      <c r="M11" s="23"/>
      <c r="N11" s="23"/>
      <c r="O11" s="23"/>
      <c r="P11" s="27"/>
      <c r="R11" s="2"/>
    </row>
    <row r="12" spans="1:18" ht="18.75">
      <c r="A12" s="2" t="s">
        <v>63</v>
      </c>
      <c r="B12" s="2"/>
      <c r="C12" s="2"/>
      <c r="D12" s="2">
        <v>0.2</v>
      </c>
      <c r="E12" s="2" t="s">
        <v>72</v>
      </c>
      <c r="F12" s="2"/>
      <c r="G12" s="2"/>
      <c r="H12" s="2"/>
      <c r="J12" s="23"/>
      <c r="K12" s="24" t="s">
        <v>2</v>
      </c>
      <c r="L12" s="23"/>
      <c r="M12" s="24" t="s">
        <v>6</v>
      </c>
      <c r="N12" s="24" t="s">
        <v>7</v>
      </c>
      <c r="O12" s="24" t="s">
        <v>8</v>
      </c>
      <c r="P12" s="27"/>
      <c r="R12" s="2"/>
    </row>
    <row r="13" spans="1:18" ht="18.75">
      <c r="A13" s="2" t="s">
        <v>64</v>
      </c>
      <c r="B13" s="2"/>
      <c r="C13" s="2"/>
      <c r="D13" s="2">
        <v>0.95799999999999996</v>
      </c>
      <c r="E13" s="2"/>
      <c r="F13" s="2"/>
      <c r="G13" s="2"/>
      <c r="H13" s="2"/>
      <c r="J13" s="24" t="s">
        <v>3</v>
      </c>
      <c r="K13" s="24" t="s">
        <v>4</v>
      </c>
      <c r="L13" s="24" t="s">
        <v>5</v>
      </c>
      <c r="M13" s="24">
        <v>800</v>
      </c>
      <c r="N13" s="24">
        <v>0.14000000000000001</v>
      </c>
      <c r="O13" s="24">
        <v>4</v>
      </c>
      <c r="P13" s="27"/>
      <c r="R13" s="2"/>
    </row>
    <row r="14" spans="1:18" ht="18.75">
      <c r="A14" s="2" t="s">
        <v>69</v>
      </c>
      <c r="B14" s="2"/>
      <c r="C14" s="2"/>
      <c r="D14" s="2">
        <v>84.7</v>
      </c>
      <c r="E14" s="2" t="s">
        <v>71</v>
      </c>
      <c r="F14" s="2"/>
      <c r="G14" s="2"/>
      <c r="H14" s="2"/>
      <c r="J14" s="24" t="s">
        <v>22</v>
      </c>
      <c r="K14" s="24" t="s">
        <v>9</v>
      </c>
      <c r="L14" s="24" t="s">
        <v>10</v>
      </c>
      <c r="M14" s="24">
        <v>800</v>
      </c>
      <c r="N14" s="24">
        <v>7.0999999999999994E-2</v>
      </c>
      <c r="O14" s="24">
        <v>4.2</v>
      </c>
      <c r="P14" s="27"/>
      <c r="R14" s="2"/>
    </row>
    <row r="15" spans="1:18" ht="20.25">
      <c r="A15" s="2" t="s">
        <v>138</v>
      </c>
      <c r="B15" s="2"/>
      <c r="C15" s="2"/>
      <c r="D15" s="2">
        <v>17.600000000000001</v>
      </c>
      <c r="E15" s="2" t="s">
        <v>70</v>
      </c>
      <c r="F15" s="2"/>
      <c r="G15" s="2"/>
      <c r="H15" s="2"/>
      <c r="J15" s="24"/>
      <c r="K15" s="24" t="s">
        <v>11</v>
      </c>
      <c r="L15" s="24" t="s">
        <v>5</v>
      </c>
      <c r="M15" s="24">
        <v>800</v>
      </c>
      <c r="N15" s="24">
        <v>9.0999999999999998E-2</v>
      </c>
      <c r="O15" s="24">
        <v>4</v>
      </c>
      <c r="P15" s="27"/>
      <c r="R15" s="2"/>
    </row>
    <row r="16" spans="1:18" ht="18.75">
      <c r="A16" s="2" t="s">
        <v>73</v>
      </c>
      <c r="B16" s="2"/>
      <c r="C16" s="2"/>
      <c r="D16" s="2">
        <v>17</v>
      </c>
      <c r="E16" s="2" t="s">
        <v>74</v>
      </c>
      <c r="F16" s="2"/>
      <c r="G16" s="5"/>
      <c r="H16" s="2"/>
      <c r="J16" s="24"/>
      <c r="K16" s="24"/>
      <c r="L16" s="24" t="s">
        <v>13</v>
      </c>
      <c r="M16" s="24">
        <v>800</v>
      </c>
      <c r="N16" s="24">
        <v>5.6000000000000001E-2</v>
      </c>
      <c r="O16" s="24">
        <v>3.9</v>
      </c>
      <c r="P16" s="27"/>
      <c r="R16" s="2"/>
    </row>
    <row r="17" spans="1:18" ht="22.5">
      <c r="A17" s="2"/>
      <c r="B17" s="2"/>
      <c r="C17" s="2"/>
      <c r="D17" s="2">
        <v>1738</v>
      </c>
      <c r="E17" s="2" t="s">
        <v>139</v>
      </c>
      <c r="F17" s="2"/>
      <c r="G17" s="2"/>
      <c r="H17" s="2"/>
      <c r="J17" s="24"/>
      <c r="K17" s="24"/>
      <c r="L17" s="24" t="s">
        <v>14</v>
      </c>
      <c r="M17" s="24">
        <v>800</v>
      </c>
      <c r="N17" s="24">
        <v>6.6000000000000003E-2</v>
      </c>
      <c r="O17" s="24">
        <v>3.9</v>
      </c>
      <c r="P17" s="27"/>
      <c r="R17" s="2"/>
    </row>
    <row r="18" spans="1:18" ht="18.75">
      <c r="A18" s="2" t="s">
        <v>86</v>
      </c>
      <c r="B18" s="2"/>
      <c r="C18" s="2"/>
      <c r="D18" s="2">
        <v>202.7</v>
      </c>
      <c r="E18" s="2" t="s">
        <v>87</v>
      </c>
      <c r="F18" s="2"/>
      <c r="G18" s="2"/>
      <c r="H18" s="2"/>
      <c r="J18" s="24"/>
      <c r="K18" s="24"/>
      <c r="L18" s="24" t="s">
        <v>15</v>
      </c>
      <c r="M18" s="24">
        <v>800</v>
      </c>
      <c r="N18" s="24">
        <v>7.4999999999999997E-2</v>
      </c>
      <c r="O18" s="24">
        <v>4.2</v>
      </c>
      <c r="P18" s="27"/>
      <c r="R18" s="2"/>
    </row>
    <row r="19" spans="1:18" ht="18.75">
      <c r="A19" s="2" t="s">
        <v>88</v>
      </c>
      <c r="B19" s="2"/>
      <c r="C19" s="2"/>
      <c r="D19" s="2">
        <v>203.2</v>
      </c>
      <c r="E19" s="2" t="s">
        <v>87</v>
      </c>
      <c r="F19" s="2"/>
      <c r="G19" s="2"/>
      <c r="H19" s="2"/>
      <c r="J19" s="24"/>
      <c r="K19" s="24" t="s">
        <v>16</v>
      </c>
      <c r="L19" s="24" t="s">
        <v>19</v>
      </c>
      <c r="M19" s="24">
        <v>1000</v>
      </c>
      <c r="N19" s="24">
        <v>0.27</v>
      </c>
      <c r="O19" s="24">
        <v>4</v>
      </c>
      <c r="P19" s="27"/>
      <c r="R19" s="2"/>
    </row>
    <row r="20" spans="1:18" ht="18.75">
      <c r="A20" s="2" t="s">
        <v>127</v>
      </c>
      <c r="B20" s="2"/>
      <c r="C20" s="2"/>
      <c r="D20" s="2">
        <v>4.5999999999999999E-2</v>
      </c>
      <c r="E20" s="2" t="s">
        <v>87</v>
      </c>
      <c r="F20" s="2"/>
      <c r="G20" s="2"/>
      <c r="H20" s="2"/>
      <c r="J20" s="24"/>
      <c r="K20" s="24"/>
      <c r="L20" s="24" t="s">
        <v>18</v>
      </c>
      <c r="M20" s="24">
        <v>800</v>
      </c>
      <c r="N20" s="24">
        <v>6.8000000000000005E-2</v>
      </c>
      <c r="O20" s="24">
        <v>4.0999999999999996</v>
      </c>
      <c r="P20" s="27"/>
      <c r="R20" s="2"/>
    </row>
    <row r="21" spans="1:18" ht="18.75">
      <c r="A21" s="2"/>
      <c r="B21" s="2"/>
      <c r="C21" s="2"/>
      <c r="D21" s="2"/>
      <c r="E21" s="2"/>
      <c r="F21" s="2"/>
      <c r="G21" s="2"/>
      <c r="H21" s="2"/>
      <c r="J21" s="24"/>
      <c r="K21" s="24"/>
      <c r="L21" s="24" t="s">
        <v>17</v>
      </c>
      <c r="M21" s="24">
        <v>800</v>
      </c>
      <c r="N21" s="24">
        <v>3.5000000000000003E-2</v>
      </c>
      <c r="O21" s="24">
        <v>4.2</v>
      </c>
      <c r="P21" s="27"/>
      <c r="R21" s="2"/>
    </row>
    <row r="22" spans="1:18" ht="18.75">
      <c r="A22" s="2"/>
      <c r="B22" s="2"/>
      <c r="C22" s="2"/>
      <c r="D22" s="2"/>
      <c r="E22" s="2"/>
      <c r="F22" s="2"/>
      <c r="G22" s="2"/>
      <c r="H22" s="2"/>
      <c r="J22" s="24" t="s">
        <v>20</v>
      </c>
      <c r="K22" s="24" t="s">
        <v>23</v>
      </c>
      <c r="L22" s="24" t="s">
        <v>5</v>
      </c>
      <c r="M22" s="24">
        <v>500</v>
      </c>
      <c r="N22" s="24">
        <v>7.0999999999999994E-2</v>
      </c>
      <c r="O22" s="24">
        <v>4.2</v>
      </c>
      <c r="P22" s="27"/>
      <c r="R22" s="2"/>
    </row>
    <row r="23" spans="1:18" ht="18.75">
      <c r="A23" s="2"/>
      <c r="B23" s="2"/>
      <c r="C23" s="2"/>
      <c r="D23" s="2"/>
      <c r="E23" s="2"/>
      <c r="F23" s="2"/>
      <c r="G23" s="2"/>
      <c r="H23" s="2"/>
      <c r="J23" s="24" t="s">
        <v>21</v>
      </c>
      <c r="K23" s="24" t="s">
        <v>24</v>
      </c>
      <c r="L23" s="24" t="s">
        <v>10</v>
      </c>
      <c r="M23" s="24">
        <v>500</v>
      </c>
      <c r="N23" s="24">
        <v>5.1999999999999998E-2</v>
      </c>
      <c r="O23" s="24">
        <v>4</v>
      </c>
      <c r="P23" s="27"/>
      <c r="R23" s="2"/>
    </row>
    <row r="24" spans="1:18" ht="19.5" thickBot="1">
      <c r="A24" s="6" t="s">
        <v>65</v>
      </c>
      <c r="B24" s="7" t="s">
        <v>66</v>
      </c>
      <c r="C24" s="2"/>
      <c r="D24" s="2"/>
      <c r="E24" s="2"/>
      <c r="F24" s="2"/>
      <c r="G24" s="2"/>
      <c r="H24" s="2"/>
      <c r="J24" s="24"/>
      <c r="K24" s="24" t="s">
        <v>25</v>
      </c>
      <c r="L24" s="24" t="s">
        <v>21</v>
      </c>
      <c r="M24" s="24">
        <v>500</v>
      </c>
      <c r="N24" s="24">
        <v>8.5999999999999993E-2</v>
      </c>
      <c r="O24" s="24">
        <v>4</v>
      </c>
      <c r="P24" s="27"/>
      <c r="R24" s="2"/>
    </row>
    <row r="25" spans="1:18" ht="19.5" thickTop="1">
      <c r="A25" s="8" t="s">
        <v>67</v>
      </c>
      <c r="B25" s="9">
        <v>5</v>
      </c>
      <c r="C25" s="2"/>
      <c r="D25" s="2"/>
      <c r="E25" s="2"/>
      <c r="F25" s="2"/>
      <c r="G25" s="2"/>
      <c r="H25" s="2"/>
      <c r="J25" s="24"/>
      <c r="K25" s="24" t="s">
        <v>26</v>
      </c>
      <c r="L25" s="24" t="s">
        <v>27</v>
      </c>
      <c r="M25" s="24">
        <v>500</v>
      </c>
      <c r="N25" s="24">
        <v>5.1999999999999998E-2</v>
      </c>
      <c r="O25" s="24">
        <v>4</v>
      </c>
      <c r="P25" s="27"/>
      <c r="R25" s="2"/>
    </row>
    <row r="26" spans="1:18" ht="18.75">
      <c r="A26" s="8" t="s">
        <v>50</v>
      </c>
      <c r="B26" s="9">
        <v>2</v>
      </c>
      <c r="C26" s="2"/>
      <c r="D26" s="2"/>
      <c r="E26" s="2"/>
      <c r="F26" s="2"/>
      <c r="G26" s="2"/>
      <c r="H26" s="2"/>
      <c r="J26" s="24" t="s">
        <v>3</v>
      </c>
      <c r="K26" s="24" t="s">
        <v>28</v>
      </c>
      <c r="L26" s="24"/>
      <c r="M26" s="24"/>
      <c r="N26" s="24"/>
      <c r="O26" s="24"/>
      <c r="P26" s="27"/>
      <c r="R26" s="2"/>
    </row>
    <row r="27" spans="1:18" ht="18.75">
      <c r="A27" s="10" t="s">
        <v>68</v>
      </c>
      <c r="B27" s="11">
        <v>3</v>
      </c>
      <c r="C27" s="2"/>
      <c r="D27" s="2"/>
      <c r="E27" s="2"/>
      <c r="F27" s="2"/>
      <c r="G27" s="2"/>
      <c r="H27" s="2"/>
      <c r="J27" s="24"/>
      <c r="K27" s="24" t="s">
        <v>29</v>
      </c>
      <c r="L27" s="24" t="s">
        <v>5</v>
      </c>
      <c r="M27" s="24">
        <v>1000</v>
      </c>
      <c r="N27" s="24">
        <v>0.23</v>
      </c>
      <c r="O27" s="24">
        <v>4</v>
      </c>
      <c r="P27" s="27"/>
      <c r="R27" s="2"/>
    </row>
    <row r="28" spans="1:18" ht="18.75">
      <c r="A28" s="2"/>
      <c r="B28" s="2"/>
      <c r="C28" s="2"/>
      <c r="D28" s="2"/>
      <c r="E28" s="2"/>
      <c r="F28" s="2"/>
      <c r="G28" s="2"/>
      <c r="H28" s="2"/>
      <c r="J28" s="24" t="s">
        <v>30</v>
      </c>
      <c r="K28" s="24" t="s">
        <v>31</v>
      </c>
      <c r="L28" s="24" t="s">
        <v>5</v>
      </c>
      <c r="M28" s="24">
        <v>1000</v>
      </c>
      <c r="N28" s="24">
        <v>0.12</v>
      </c>
      <c r="O28" s="24">
        <v>4</v>
      </c>
      <c r="P28" s="27"/>
      <c r="R28" s="2"/>
    </row>
    <row r="29" spans="1:18" ht="18.75">
      <c r="A29" s="2" t="s">
        <v>75</v>
      </c>
      <c r="B29" s="2"/>
      <c r="C29" s="2"/>
      <c r="D29" s="2"/>
      <c r="E29" s="2"/>
      <c r="F29" s="2"/>
      <c r="G29" s="2"/>
      <c r="H29" s="2"/>
      <c r="J29" s="24"/>
      <c r="K29" s="24" t="s">
        <v>32</v>
      </c>
      <c r="L29" s="24" t="s">
        <v>10</v>
      </c>
      <c r="M29" s="24">
        <v>1000</v>
      </c>
      <c r="N29" s="24">
        <v>0.1</v>
      </c>
      <c r="O29" s="24">
        <v>4</v>
      </c>
      <c r="P29" s="27"/>
      <c r="R29" s="2"/>
    </row>
    <row r="30" spans="1:18" ht="18.75">
      <c r="A30" s="2"/>
      <c r="B30" s="2"/>
      <c r="C30" s="2"/>
      <c r="D30" s="2"/>
      <c r="E30" s="2"/>
      <c r="F30" s="2"/>
      <c r="G30" s="2"/>
      <c r="H30" s="2"/>
      <c r="J30" s="24" t="s">
        <v>33</v>
      </c>
      <c r="K30" s="24" t="s">
        <v>34</v>
      </c>
      <c r="L30" s="24"/>
      <c r="M30" s="24"/>
      <c r="N30" s="24"/>
      <c r="O30" s="24"/>
      <c r="P30" s="27"/>
      <c r="R30" s="2"/>
    </row>
    <row r="31" spans="1:18" ht="18.75">
      <c r="A31" s="2" t="s">
        <v>76</v>
      </c>
      <c r="B31" s="2"/>
      <c r="C31" s="2">
        <f>D10*D12*10^-6</f>
        <v>7.0400000000000004E-6</v>
      </c>
      <c r="D31" s="2" t="s">
        <v>77</v>
      </c>
      <c r="E31" s="2"/>
      <c r="F31" s="2"/>
      <c r="G31" s="2"/>
      <c r="H31" s="2"/>
      <c r="J31" s="24"/>
      <c r="K31" s="24" t="s">
        <v>35</v>
      </c>
      <c r="L31" s="24"/>
      <c r="M31" s="24"/>
      <c r="N31" s="24"/>
      <c r="O31" s="24"/>
      <c r="P31" s="27"/>
      <c r="R31" s="2"/>
    </row>
    <row r="32" spans="1:18" ht="18.75">
      <c r="A32" s="2"/>
      <c r="B32" s="2"/>
      <c r="C32" s="2">
        <f>C31*10^3</f>
        <v>7.0400000000000003E-3</v>
      </c>
      <c r="D32" s="2" t="s">
        <v>78</v>
      </c>
      <c r="E32" s="2"/>
      <c r="F32" s="2"/>
      <c r="G32" s="2"/>
      <c r="H32" s="2"/>
      <c r="J32" s="24"/>
      <c r="K32" s="24" t="s">
        <v>36</v>
      </c>
      <c r="L32" s="24" t="s">
        <v>5</v>
      </c>
      <c r="M32" s="24">
        <v>500</v>
      </c>
      <c r="N32" s="24">
        <v>0.27400000000000002</v>
      </c>
      <c r="O32" s="24">
        <v>4</v>
      </c>
      <c r="P32" s="27"/>
      <c r="R32" s="2"/>
    </row>
    <row r="33" spans="1:18" ht="18.75">
      <c r="A33" s="2"/>
      <c r="B33" s="2"/>
      <c r="C33" s="2"/>
      <c r="D33" s="2"/>
      <c r="E33" s="2"/>
      <c r="F33" s="2"/>
      <c r="G33" s="2"/>
      <c r="H33" s="2"/>
      <c r="J33" s="24"/>
      <c r="K33" s="24"/>
      <c r="L33" s="24" t="s">
        <v>10</v>
      </c>
      <c r="M33" s="24">
        <v>800</v>
      </c>
      <c r="N33" s="24">
        <v>0.14000000000000001</v>
      </c>
      <c r="O33" s="24">
        <v>4</v>
      </c>
      <c r="P33" s="27"/>
      <c r="R33" s="2"/>
    </row>
    <row r="34" spans="1:18" ht="18.75">
      <c r="A34" s="2" t="s">
        <v>79</v>
      </c>
      <c r="B34" s="2"/>
      <c r="C34" s="2"/>
      <c r="D34" s="2"/>
      <c r="E34" s="2"/>
      <c r="F34" s="2"/>
      <c r="G34" s="2"/>
      <c r="H34" s="2"/>
      <c r="J34" s="24"/>
      <c r="K34" s="24" t="s">
        <v>31</v>
      </c>
      <c r="L34" s="24" t="s">
        <v>5</v>
      </c>
      <c r="M34" s="24">
        <v>800</v>
      </c>
      <c r="N34" s="24">
        <v>0.28000000000000003</v>
      </c>
      <c r="O34" s="24">
        <v>4</v>
      </c>
      <c r="P34" s="27"/>
      <c r="R34" s="2"/>
    </row>
    <row r="35" spans="1:18" ht="18.75">
      <c r="A35" s="2"/>
      <c r="B35" s="2"/>
      <c r="C35" s="2"/>
      <c r="D35" s="2"/>
      <c r="E35" s="2" t="s">
        <v>84</v>
      </c>
      <c r="F35" s="2"/>
      <c r="G35" s="2"/>
      <c r="H35" s="2"/>
      <c r="J35" s="24"/>
      <c r="K35" s="24" t="s">
        <v>37</v>
      </c>
      <c r="L35" s="24"/>
      <c r="M35" s="24">
        <v>1000</v>
      </c>
      <c r="N35" s="24">
        <v>0.34</v>
      </c>
      <c r="O35" s="24">
        <v>4</v>
      </c>
      <c r="P35" s="27"/>
      <c r="R35" s="2"/>
    </row>
    <row r="36" spans="1:18" ht="18.75">
      <c r="A36" s="2" t="s">
        <v>80</v>
      </c>
      <c r="B36" s="2"/>
      <c r="C36" s="2">
        <v>44</v>
      </c>
      <c r="D36" s="2" t="s">
        <v>85</v>
      </c>
      <c r="E36" s="12">
        <f>18%</f>
        <v>0.18</v>
      </c>
      <c r="F36" s="2"/>
      <c r="G36" s="2"/>
      <c r="H36" s="2"/>
      <c r="J36" s="24"/>
      <c r="K36" s="24" t="s">
        <v>38</v>
      </c>
      <c r="L36" s="24" t="s">
        <v>5</v>
      </c>
      <c r="M36" s="24">
        <v>200</v>
      </c>
      <c r="N36" s="24">
        <v>9.0999999999999998E-2</v>
      </c>
      <c r="O36" s="24">
        <v>4</v>
      </c>
      <c r="P36" s="27"/>
      <c r="R36" s="2"/>
    </row>
    <row r="37" spans="1:18" ht="18.75">
      <c r="A37" s="2" t="s">
        <v>81</v>
      </c>
      <c r="B37" s="2"/>
      <c r="C37" s="2">
        <v>58</v>
      </c>
      <c r="D37" s="2" t="s">
        <v>85</v>
      </c>
      <c r="E37" s="12">
        <f>80%</f>
        <v>0.8</v>
      </c>
      <c r="F37" s="2"/>
      <c r="G37" s="2"/>
      <c r="H37" s="2"/>
      <c r="J37" s="24"/>
      <c r="K37" s="24" t="s">
        <v>31</v>
      </c>
      <c r="L37" s="24" t="s">
        <v>5</v>
      </c>
      <c r="M37" s="24">
        <v>150</v>
      </c>
      <c r="N37" s="24">
        <v>1.7000000000000001E-2</v>
      </c>
      <c r="O37" s="24">
        <v>4</v>
      </c>
      <c r="P37" s="27"/>
      <c r="R37" s="2"/>
    </row>
    <row r="38" spans="1:18" ht="18.75">
      <c r="A38" s="2" t="s">
        <v>82</v>
      </c>
      <c r="B38" s="2"/>
      <c r="C38" s="2">
        <v>72</v>
      </c>
      <c r="D38" s="2" t="s">
        <v>85</v>
      </c>
      <c r="E38" s="2">
        <f>2%</f>
        <v>0.02</v>
      </c>
      <c r="F38" s="2"/>
      <c r="G38" s="2"/>
      <c r="H38" s="2"/>
      <c r="J38" s="24"/>
      <c r="K38" s="24" t="s">
        <v>37</v>
      </c>
      <c r="L38" s="24"/>
      <c r="M38" s="24">
        <v>100</v>
      </c>
      <c r="N38" s="24">
        <v>0</v>
      </c>
      <c r="O38" s="24">
        <v>0</v>
      </c>
      <c r="P38" s="27"/>
      <c r="R38" s="2"/>
    </row>
    <row r="39" spans="1:18" ht="18.75">
      <c r="A39" s="2"/>
      <c r="B39" s="2"/>
      <c r="C39" s="2"/>
      <c r="D39" s="2"/>
      <c r="E39" s="2"/>
      <c r="F39" s="2"/>
      <c r="G39" s="2"/>
      <c r="H39" s="2"/>
      <c r="J39" s="24" t="s">
        <v>39</v>
      </c>
      <c r="K39" s="24" t="s">
        <v>40</v>
      </c>
      <c r="L39" s="24" t="s">
        <v>55</v>
      </c>
      <c r="M39" s="24">
        <v>950</v>
      </c>
      <c r="N39" s="24">
        <v>0.25</v>
      </c>
      <c r="O39" s="24">
        <v>4</v>
      </c>
      <c r="P39" s="27"/>
      <c r="R39" s="2"/>
    </row>
    <row r="40" spans="1:18" ht="18.75">
      <c r="A40" s="2" t="s">
        <v>83</v>
      </c>
      <c r="B40" s="2"/>
      <c r="C40" s="2">
        <f>(C36*E36)+(C37*E37)+(C38*E38)</f>
        <v>55.760000000000005</v>
      </c>
      <c r="D40" s="2" t="s">
        <v>85</v>
      </c>
      <c r="E40" s="2"/>
      <c r="F40" s="2"/>
      <c r="G40" s="2"/>
      <c r="H40" s="2"/>
      <c r="J40" s="24"/>
      <c r="K40" s="24" t="s">
        <v>41</v>
      </c>
      <c r="L40" s="24" t="s">
        <v>55</v>
      </c>
      <c r="M40" s="24">
        <v>1000</v>
      </c>
      <c r="N40" s="24">
        <v>0.69</v>
      </c>
      <c r="O40" s="24">
        <v>4</v>
      </c>
      <c r="P40" s="27"/>
      <c r="R40" s="2"/>
    </row>
    <row r="41" spans="1:18" ht="18.75">
      <c r="A41" s="2"/>
      <c r="B41" s="2"/>
      <c r="C41" s="2"/>
      <c r="D41" s="2"/>
      <c r="E41" s="2"/>
      <c r="F41" s="2"/>
      <c r="G41" s="2"/>
      <c r="H41" s="2"/>
      <c r="J41" s="24"/>
      <c r="K41" s="24" t="s">
        <v>42</v>
      </c>
      <c r="L41" s="24" t="s">
        <v>43</v>
      </c>
      <c r="M41" s="24">
        <v>1500</v>
      </c>
      <c r="N41" s="24">
        <v>1.7</v>
      </c>
      <c r="O41" s="24">
        <v>3.6</v>
      </c>
      <c r="P41" s="27"/>
      <c r="R41" s="2"/>
    </row>
    <row r="42" spans="1:18" ht="20.25">
      <c r="A42" s="25" t="s">
        <v>89</v>
      </c>
      <c r="B42" s="2"/>
      <c r="C42" s="2"/>
      <c r="D42" s="2"/>
      <c r="E42" s="2"/>
      <c r="F42" s="2"/>
      <c r="G42" s="2"/>
      <c r="H42" s="2"/>
      <c r="J42" s="24"/>
      <c r="K42" s="24" t="s">
        <v>44</v>
      </c>
      <c r="L42" s="24" t="s">
        <v>45</v>
      </c>
      <c r="M42" s="24">
        <v>500</v>
      </c>
      <c r="N42" s="24">
        <v>0.41</v>
      </c>
      <c r="O42" s="24">
        <v>4</v>
      </c>
      <c r="P42" s="27"/>
      <c r="R42" s="2"/>
    </row>
    <row r="43" spans="1:18" ht="18.75">
      <c r="A43" s="2"/>
      <c r="B43" s="2"/>
      <c r="C43" s="2"/>
      <c r="D43" s="2"/>
      <c r="E43" s="2"/>
      <c r="F43" s="2"/>
      <c r="G43" s="2"/>
      <c r="H43" s="2"/>
      <c r="J43" s="24"/>
      <c r="K43" s="24" t="s">
        <v>44</v>
      </c>
      <c r="L43" s="24" t="s">
        <v>46</v>
      </c>
      <c r="M43" s="24">
        <v>300</v>
      </c>
      <c r="N43" s="24">
        <v>8.4000000000000005E-2</v>
      </c>
      <c r="O43" s="24">
        <v>3.9</v>
      </c>
      <c r="P43" s="27"/>
      <c r="R43" s="2"/>
    </row>
    <row r="44" spans="1:18" ht="22.5">
      <c r="A44" s="2" t="s">
        <v>93</v>
      </c>
      <c r="B44" s="2"/>
      <c r="C44" s="2">
        <f>D9+273.15</f>
        <v>359.15</v>
      </c>
      <c r="D44" s="2" t="s">
        <v>114</v>
      </c>
      <c r="E44" s="2" t="s">
        <v>121</v>
      </c>
      <c r="F44" s="2">
        <f>ROUND(PI()*(0.001*D18)^2/4,4)</f>
        <v>3.2300000000000002E-2</v>
      </c>
      <c r="G44" s="2" t="s">
        <v>140</v>
      </c>
      <c r="H44" s="2"/>
      <c r="J44" s="24"/>
      <c r="K44" s="24" t="s">
        <v>44</v>
      </c>
      <c r="L44" s="24" t="s">
        <v>47</v>
      </c>
      <c r="M44" s="24">
        <v>300</v>
      </c>
      <c r="N44" s="24">
        <v>0.14000000000000001</v>
      </c>
      <c r="O44" s="24">
        <v>4</v>
      </c>
      <c r="P44" s="27"/>
      <c r="R44" s="2"/>
    </row>
    <row r="45" spans="1:18" ht="18.75">
      <c r="A45" s="2"/>
      <c r="B45" s="2"/>
      <c r="C45" s="2"/>
      <c r="D45" s="2"/>
      <c r="E45" s="2"/>
      <c r="F45" s="2"/>
      <c r="G45" s="2"/>
      <c r="H45" s="2"/>
      <c r="J45" s="24"/>
      <c r="K45" s="24"/>
      <c r="L45" s="24" t="s">
        <v>48</v>
      </c>
      <c r="M45" s="24"/>
      <c r="N45" s="24"/>
      <c r="O45" s="24"/>
      <c r="P45" s="27"/>
      <c r="R45" s="2"/>
    </row>
    <row r="46" spans="1:18" ht="18.75">
      <c r="A46" s="2" t="s">
        <v>94</v>
      </c>
      <c r="B46" s="2"/>
      <c r="C46" s="2"/>
      <c r="D46" s="2"/>
      <c r="E46" s="2" t="s">
        <v>122</v>
      </c>
      <c r="F46" s="2">
        <f>ROUND(D16/(D10*F44),2)</f>
        <v>14.95</v>
      </c>
      <c r="G46" s="2" t="s">
        <v>91</v>
      </c>
      <c r="H46" s="2"/>
      <c r="J46" s="24"/>
      <c r="K46" s="24" t="s">
        <v>49</v>
      </c>
      <c r="L46" s="24" t="s">
        <v>54</v>
      </c>
      <c r="M46" s="24">
        <v>300</v>
      </c>
      <c r="N46" s="24">
        <v>3.6999999999999998E-2</v>
      </c>
      <c r="O46" s="24">
        <v>3.9</v>
      </c>
      <c r="P46" s="27"/>
      <c r="R46" s="2"/>
    </row>
    <row r="47" spans="1:18" ht="18.75">
      <c r="A47" s="2" t="s">
        <v>90</v>
      </c>
      <c r="B47" s="13">
        <f>ROUND(354*D16*3600/(D10*D18^2),2)</f>
        <v>14.98</v>
      </c>
      <c r="C47" s="2" t="s">
        <v>91</v>
      </c>
      <c r="D47" s="2"/>
      <c r="E47" s="2"/>
      <c r="F47" s="2"/>
      <c r="G47" s="2"/>
      <c r="H47" s="2"/>
      <c r="J47" s="24"/>
      <c r="K47" s="24" t="s">
        <v>50</v>
      </c>
      <c r="L47" s="24" t="s">
        <v>54</v>
      </c>
      <c r="M47" s="24">
        <v>300</v>
      </c>
      <c r="N47" s="24">
        <v>1.7000000000000001E-2</v>
      </c>
      <c r="O47" s="24">
        <v>4</v>
      </c>
      <c r="P47" s="27"/>
      <c r="R47" s="2"/>
    </row>
    <row r="48" spans="1:18" ht="18.75">
      <c r="A48" s="2"/>
      <c r="B48" s="2"/>
      <c r="C48" s="2"/>
      <c r="D48" s="2"/>
      <c r="E48" s="2"/>
      <c r="F48" s="2"/>
      <c r="G48" s="2"/>
      <c r="H48" s="2"/>
      <c r="J48" s="24"/>
      <c r="K48" s="24" t="s">
        <v>51</v>
      </c>
      <c r="L48" s="24" t="s">
        <v>52</v>
      </c>
      <c r="M48" s="24">
        <v>1000</v>
      </c>
      <c r="N48" s="24">
        <v>0.69</v>
      </c>
      <c r="O48" s="24">
        <v>4.9000000000000004</v>
      </c>
      <c r="P48" s="27"/>
      <c r="R48" s="2"/>
    </row>
    <row r="49" spans="1:18" ht="22.5">
      <c r="A49" s="2" t="s">
        <v>92</v>
      </c>
      <c r="B49" s="2">
        <f>ROUND(SQRT(D13*D11*(8314/C40)*C44),2)</f>
        <v>238.63</v>
      </c>
      <c r="C49" s="2" t="s">
        <v>91</v>
      </c>
      <c r="D49" s="2"/>
      <c r="E49" s="2"/>
      <c r="F49" s="2"/>
      <c r="G49" s="2"/>
      <c r="H49" s="2"/>
      <c r="I49" s="2"/>
      <c r="J49" s="24"/>
      <c r="K49" s="24" t="s">
        <v>53</v>
      </c>
      <c r="L49" s="24" t="s">
        <v>141</v>
      </c>
      <c r="M49" s="24">
        <v>1500</v>
      </c>
      <c r="N49" s="24">
        <v>0.46</v>
      </c>
      <c r="O49" s="24">
        <v>4</v>
      </c>
      <c r="P49" s="27"/>
      <c r="R49" s="2"/>
    </row>
    <row r="50" spans="1:18" ht="18.75">
      <c r="A50" s="2"/>
      <c r="B50" s="2"/>
      <c r="C50" s="2"/>
      <c r="D50" s="2"/>
      <c r="E50" s="2"/>
      <c r="F50" s="2"/>
      <c r="G50" s="2"/>
      <c r="H50" s="2"/>
      <c r="I50" s="2"/>
      <c r="J50" s="24"/>
      <c r="K50" s="24" t="s">
        <v>56</v>
      </c>
      <c r="L50" s="24" t="s">
        <v>57</v>
      </c>
      <c r="M50" s="24">
        <v>2000</v>
      </c>
      <c r="N50" s="24">
        <v>2.85</v>
      </c>
      <c r="O50" s="24">
        <v>3.8</v>
      </c>
      <c r="P50" s="27"/>
      <c r="R50" s="2"/>
    </row>
    <row r="51" spans="1:18" ht="23.25">
      <c r="A51" s="2" t="s">
        <v>128</v>
      </c>
      <c r="B51" s="2">
        <f>ROUND(B47/B49,3)</f>
        <v>6.3E-2</v>
      </c>
      <c r="C51" s="2"/>
      <c r="D51" s="2"/>
      <c r="E51" s="2"/>
      <c r="F51" s="2"/>
      <c r="G51" s="2"/>
      <c r="H51" s="2"/>
      <c r="I51" s="2"/>
      <c r="J51" s="2" t="s">
        <v>142</v>
      </c>
      <c r="K51" s="2"/>
      <c r="L51" s="2"/>
      <c r="M51" s="2"/>
      <c r="N51" s="2"/>
      <c r="O51" s="2"/>
      <c r="P51" s="2"/>
      <c r="R51" s="2"/>
    </row>
    <row r="52" spans="1:18" ht="18.75">
      <c r="A52" s="2"/>
      <c r="B52" s="2"/>
      <c r="C52" s="2"/>
      <c r="D52" s="2"/>
      <c r="E52" s="2"/>
      <c r="F52" s="2"/>
      <c r="G52" s="2"/>
      <c r="H52" s="2"/>
      <c r="I52" s="2"/>
      <c r="J52" s="2"/>
      <c r="L52" s="2"/>
      <c r="M52" s="2"/>
      <c r="N52" s="2"/>
      <c r="O52" s="2"/>
      <c r="P52" s="2"/>
      <c r="Q52" s="2"/>
      <c r="R52" s="2"/>
    </row>
    <row r="53" spans="1:18" ht="18.75">
      <c r="A53" s="2" t="s">
        <v>131</v>
      </c>
      <c r="B53" s="2" t="str">
        <f>IF(B51=1,"flow is sonic",IF(B51&lt;1,"flow is subsonic",IF( B51&gt;1,"flow is supersonic")))</f>
        <v>flow is subsonic</v>
      </c>
      <c r="C53" s="2"/>
      <c r="D53" s="2"/>
      <c r="E53" s="2"/>
      <c r="F53" s="2"/>
      <c r="G53" s="2"/>
      <c r="H53" s="2"/>
      <c r="I53" s="2"/>
      <c r="J53" s="2"/>
      <c r="K53" s="19"/>
      <c r="L53" s="2"/>
      <c r="M53" s="2"/>
      <c r="N53" s="2"/>
      <c r="O53" s="2"/>
      <c r="P53" s="2"/>
      <c r="Q53" s="2"/>
      <c r="R53" s="2"/>
    </row>
    <row r="54" spans="1:18" ht="18.75">
      <c r="A54" s="2"/>
      <c r="B54" s="2"/>
      <c r="C54" s="2"/>
      <c r="D54" s="2"/>
      <c r="E54" s="2"/>
      <c r="F54" s="2"/>
      <c r="G54" s="2"/>
      <c r="H54" s="2"/>
      <c r="I54" s="2"/>
      <c r="J54" s="2"/>
      <c r="L54" s="2"/>
      <c r="M54" s="2"/>
      <c r="N54" s="2"/>
      <c r="O54" s="2"/>
      <c r="P54" s="2"/>
      <c r="Q54" s="2"/>
      <c r="R54" s="2"/>
    </row>
    <row r="55" spans="1:18" ht="18.75">
      <c r="A55" s="2" t="s">
        <v>95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8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8.75">
      <c r="A57" s="2" t="s">
        <v>96</v>
      </c>
      <c r="B57" s="2">
        <f>ROUND((354*D16*3600)/(D18*C32),0)</f>
        <v>15181975</v>
      </c>
      <c r="C57" s="2" t="str">
        <f>IF(B57&gt;2000,"TURBULENT","LAMINAR")</f>
        <v>TURBULENT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8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8.75">
      <c r="A59" s="2" t="s">
        <v>97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8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8.75">
      <c r="A61" s="2" t="s">
        <v>98</v>
      </c>
      <c r="B61" s="2">
        <v>4.5999999999999999E-2</v>
      </c>
      <c r="C61" s="2" t="s">
        <v>87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8.75">
      <c r="A62" s="2" t="s">
        <v>99</v>
      </c>
      <c r="B62" s="2">
        <f>B61/D18</f>
        <v>2.2693635915145536E-4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8.75">
      <c r="A63" s="2" t="s">
        <v>150</v>
      </c>
      <c r="B63" s="2">
        <f>B62/3.7</f>
        <v>6.1334151122014959E-5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8.75">
      <c r="A64" s="2" t="s">
        <v>100</v>
      </c>
      <c r="B64" s="2">
        <f>B63+(6.7/B57)^0.9</f>
        <v>6.3240805072810037E-5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8.75">
      <c r="A65" s="2" t="s">
        <v>101</v>
      </c>
      <c r="B65" s="2">
        <f>-4*LOG10(B62/3.7-(5.02/B57*LOG10(B64)))</f>
        <v>16.810304524952215</v>
      </c>
      <c r="C65" s="2"/>
      <c r="D65" s="2"/>
      <c r="E65" s="2"/>
      <c r="F65" s="2" t="s">
        <v>124</v>
      </c>
      <c r="G65" s="2">
        <f>ROUND((2.457*LN(1/((7/B57)^0.9+(0.27*B62))))^16,3)</f>
        <v>1.0282473950753401E+22</v>
      </c>
      <c r="H65" s="2" t="s">
        <v>125</v>
      </c>
      <c r="I65" s="2">
        <f>(37530/B57)^16</f>
        <v>1.9444853682200126E-42</v>
      </c>
      <c r="J65" s="2"/>
      <c r="K65" s="2"/>
      <c r="L65" s="2"/>
      <c r="M65" s="2"/>
      <c r="N65" s="2"/>
      <c r="O65" s="2"/>
      <c r="P65" s="2"/>
      <c r="Q65" s="2"/>
      <c r="R65" s="2"/>
    </row>
    <row r="66" spans="1:18" ht="20.25">
      <c r="A66" s="2" t="s">
        <v>143</v>
      </c>
      <c r="B66" s="2"/>
      <c r="C66" s="2">
        <f>ROUND((1/B65)^2,4)</f>
        <v>3.5000000000000001E-3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20.25">
      <c r="A67" s="2" t="s">
        <v>144</v>
      </c>
      <c r="B67" s="2"/>
      <c r="C67" s="2">
        <f>ROUND(4*C66,4)</f>
        <v>1.4E-2</v>
      </c>
      <c r="D67" s="2"/>
      <c r="E67" s="2"/>
      <c r="F67" s="2" t="s">
        <v>126</v>
      </c>
      <c r="G67" s="2"/>
      <c r="H67" s="2">
        <f>ROUND(8*((8/B57)^12+(1/(G65+I65)^1.5))^(1/12),4)</f>
        <v>1.4200000000000001E-2</v>
      </c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8.75">
      <c r="A68" s="2"/>
      <c r="B68" s="2"/>
      <c r="C68" s="2"/>
      <c r="D68" s="2"/>
      <c r="E68" s="2"/>
      <c r="F68" s="2" t="s">
        <v>129</v>
      </c>
      <c r="G68" s="2"/>
      <c r="H68" s="14">
        <f>H67/4</f>
        <v>3.5500000000000002E-3</v>
      </c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8.75">
      <c r="A69" s="2" t="s">
        <v>115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8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8.75">
      <c r="A71" s="2" t="s">
        <v>102</v>
      </c>
      <c r="B71" s="2"/>
      <c r="C71" s="2">
        <f>ROUND(C67*D14*1000/D18,4)</f>
        <v>5.85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8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8.75">
      <c r="A73" s="2" t="s">
        <v>103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8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20.25">
      <c r="A75" s="2" t="s">
        <v>145</v>
      </c>
      <c r="B75" s="2"/>
      <c r="C75" s="2">
        <f>C71+M83</f>
        <v>8.4315999999999995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8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20.25">
      <c r="A77" s="2" t="s">
        <v>146</v>
      </c>
      <c r="B77" s="2" t="s">
        <v>112</v>
      </c>
      <c r="C77" s="2"/>
      <c r="D77" s="2"/>
      <c r="E77" s="2"/>
      <c r="F77" s="2" t="s">
        <v>130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8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8.75">
      <c r="A79" s="2" t="s">
        <v>109</v>
      </c>
      <c r="B79" s="2"/>
      <c r="C79" s="2">
        <f>D16/(2.484*10^(-4)*D18^2)</f>
        <v>1.6656733315974825</v>
      </c>
      <c r="D79" s="2"/>
      <c r="E79" s="2"/>
      <c r="F79" s="15" t="s">
        <v>2</v>
      </c>
      <c r="G79" s="15" t="s">
        <v>66</v>
      </c>
      <c r="H79" s="15" t="s">
        <v>6</v>
      </c>
      <c r="I79" s="15" t="s">
        <v>104</v>
      </c>
      <c r="J79" s="15" t="s">
        <v>7</v>
      </c>
      <c r="K79" s="15" t="s">
        <v>105</v>
      </c>
      <c r="L79" s="15" t="s">
        <v>8</v>
      </c>
      <c r="M79" s="15" t="s">
        <v>108</v>
      </c>
      <c r="N79" s="2"/>
      <c r="O79" s="2"/>
      <c r="P79" s="2"/>
      <c r="Q79" s="2"/>
      <c r="R79" s="2"/>
    </row>
    <row r="80" spans="1:18" ht="22.5">
      <c r="A80" s="2" t="s">
        <v>110</v>
      </c>
      <c r="B80" s="2"/>
      <c r="C80" s="2">
        <f>C79^2</f>
        <v>2.7744676475950572</v>
      </c>
      <c r="D80" s="2"/>
      <c r="E80" s="2"/>
      <c r="F80" s="15" t="s">
        <v>147</v>
      </c>
      <c r="G80" s="15">
        <v>5</v>
      </c>
      <c r="H80" s="15">
        <v>800</v>
      </c>
      <c r="I80" s="15">
        <f>G80*H80</f>
        <v>4000</v>
      </c>
      <c r="J80" s="15">
        <v>7.0999999999999994E-2</v>
      </c>
      <c r="K80" s="15">
        <f>G80*J80</f>
        <v>0.35499999999999998</v>
      </c>
      <c r="L80" s="15">
        <v>4.2</v>
      </c>
      <c r="M80" s="3">
        <f>ROUND(I80/$B$57+(K80*(1+(25.4/$D$19)^0.3*L80)),4)</f>
        <v>1.1543000000000001</v>
      </c>
      <c r="N80" s="2"/>
      <c r="O80" s="2"/>
      <c r="P80" s="2"/>
      <c r="Q80" s="2"/>
      <c r="R80" s="2"/>
    </row>
    <row r="81" spans="1:19" ht="18.75">
      <c r="A81" s="16"/>
      <c r="B81" s="16"/>
      <c r="C81" s="16"/>
      <c r="D81" s="16"/>
      <c r="E81" s="2"/>
      <c r="F81" s="15" t="s">
        <v>50</v>
      </c>
      <c r="G81" s="15">
        <v>2</v>
      </c>
      <c r="H81" s="15">
        <v>300</v>
      </c>
      <c r="I81" s="15">
        <f>G81*H81</f>
        <v>600</v>
      </c>
      <c r="J81" s="15">
        <v>1.7000000000000001E-2</v>
      </c>
      <c r="K81" s="15">
        <f>G81*J81</f>
        <v>3.4000000000000002E-2</v>
      </c>
      <c r="L81" s="15">
        <v>4</v>
      </c>
      <c r="M81" s="3">
        <f>ROUND(I81/$B$57+(K81*(1+(25.4/$D$19)^0.3*L81)),4)</f>
        <v>0.1069</v>
      </c>
      <c r="N81" s="2"/>
      <c r="O81" s="2"/>
      <c r="P81" s="2"/>
      <c r="Q81" s="2"/>
      <c r="R81" s="2"/>
    </row>
    <row r="82" spans="1:19" ht="18.75">
      <c r="A82" s="16"/>
      <c r="B82" s="16"/>
      <c r="C82" s="16"/>
      <c r="D82" s="16"/>
      <c r="E82" s="2"/>
      <c r="F82" s="15" t="s">
        <v>106</v>
      </c>
      <c r="G82" s="15">
        <v>3</v>
      </c>
      <c r="H82" s="15">
        <v>800</v>
      </c>
      <c r="I82" s="15">
        <f>G82*H82</f>
        <v>2400</v>
      </c>
      <c r="J82" s="15">
        <v>0.14000000000000001</v>
      </c>
      <c r="K82" s="15">
        <f>G82*J82</f>
        <v>0.42000000000000004</v>
      </c>
      <c r="L82" s="15">
        <v>4</v>
      </c>
      <c r="M82" s="3">
        <f>ROUND(I82/$B$57+(K82*(1+(25.4/$D$19)^0.3*L82)),4)</f>
        <v>1.3204</v>
      </c>
      <c r="N82" s="2"/>
      <c r="O82" s="2"/>
      <c r="P82" s="2"/>
      <c r="Q82" s="2"/>
      <c r="R82" s="2"/>
    </row>
    <row r="83" spans="1:19" ht="20.25">
      <c r="A83" s="17" t="s">
        <v>148</v>
      </c>
      <c r="B83" s="16"/>
      <c r="C83" s="18">
        <v>17.264512715141102</v>
      </c>
      <c r="D83" s="16" t="s">
        <v>1</v>
      </c>
      <c r="E83" s="2"/>
      <c r="F83" s="15" t="s">
        <v>107</v>
      </c>
      <c r="G83" s="3"/>
      <c r="H83" s="3"/>
      <c r="I83" s="3"/>
      <c r="J83" s="3"/>
      <c r="K83" s="3"/>
      <c r="L83" s="3"/>
      <c r="M83" s="3">
        <f>SUM(M80:M82)</f>
        <v>2.5815999999999999</v>
      </c>
      <c r="N83" s="2"/>
      <c r="O83" s="2"/>
      <c r="P83" s="2"/>
      <c r="Q83" s="2"/>
      <c r="R83" s="2"/>
    </row>
    <row r="84" spans="1:19" ht="18.75">
      <c r="A84" s="16"/>
      <c r="B84" s="16"/>
      <c r="C84" s="16"/>
      <c r="D84" s="16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9" ht="18.75">
      <c r="A85" s="16"/>
      <c r="B85" s="16"/>
      <c r="C85" s="16"/>
      <c r="D85" s="16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9" ht="18.75">
      <c r="A86" s="2" t="s">
        <v>113</v>
      </c>
      <c r="B86" s="2"/>
      <c r="C86" s="2">
        <f>SQRT(D15^2-D15*C80*C75/D10)-C83</f>
        <v>0</v>
      </c>
      <c r="D86" s="2"/>
      <c r="E86" s="2"/>
      <c r="F86" s="2"/>
      <c r="G86" s="2"/>
      <c r="H86" s="2"/>
      <c r="I86" s="2"/>
      <c r="K86" s="2"/>
      <c r="L86" s="2"/>
      <c r="M86" s="2"/>
      <c r="N86" s="2"/>
      <c r="O86" s="2"/>
      <c r="P86" s="2"/>
      <c r="Q86" s="2"/>
      <c r="R86" s="2"/>
    </row>
    <row r="87" spans="1:19" ht="18.75">
      <c r="A87" s="2"/>
      <c r="B87" s="2"/>
      <c r="C87" s="2"/>
      <c r="D87" s="2"/>
      <c r="E87" s="2"/>
      <c r="F87" s="2"/>
      <c r="G87" s="2"/>
      <c r="H87" s="2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1"/>
    </row>
    <row r="88" spans="1:19" ht="18.75">
      <c r="A88" s="2" t="s">
        <v>111</v>
      </c>
      <c r="B88" s="2"/>
      <c r="C88" s="2"/>
      <c r="D88" s="2"/>
      <c r="E88" s="2"/>
      <c r="F88" s="2"/>
      <c r="G88" s="2"/>
      <c r="H88" s="2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1"/>
    </row>
    <row r="89" spans="1:19" ht="18.75">
      <c r="A89" s="2"/>
      <c r="B89" s="2"/>
      <c r="C89" s="2"/>
      <c r="D89" s="2"/>
      <c r="E89" s="2"/>
      <c r="F89" s="2"/>
      <c r="G89" s="2"/>
      <c r="H89" s="2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1"/>
    </row>
    <row r="90" spans="1:19" ht="18.75">
      <c r="A90" s="2"/>
      <c r="B90" s="2"/>
      <c r="C90" s="2"/>
      <c r="D90" s="2"/>
      <c r="E90" s="2"/>
      <c r="F90" s="2"/>
      <c r="G90" s="2"/>
      <c r="H90" s="2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1"/>
    </row>
    <row r="91" spans="1:19" ht="18.75">
      <c r="A91" s="2" t="s">
        <v>0</v>
      </c>
      <c r="B91" s="2"/>
      <c r="C91" s="2">
        <f>ROUND((D15-C83),3)</f>
        <v>0.33500000000000002</v>
      </c>
      <c r="D91" s="2" t="s">
        <v>1</v>
      </c>
      <c r="E91" s="2"/>
      <c r="F91" s="2"/>
      <c r="G91" s="2"/>
      <c r="H91" s="2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1"/>
    </row>
    <row r="92" spans="1:19" ht="18.75">
      <c r="A92" s="2"/>
      <c r="B92" s="2"/>
      <c r="C92" s="2"/>
      <c r="D92" s="2"/>
      <c r="E92" s="2"/>
      <c r="F92" s="2"/>
      <c r="G92" s="2"/>
      <c r="H92" s="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1"/>
    </row>
    <row r="93" spans="1:19" ht="18.75">
      <c r="A93" s="2" t="s">
        <v>116</v>
      </c>
      <c r="B93" s="2"/>
      <c r="C93" s="2"/>
      <c r="D93" s="2"/>
      <c r="E93" s="2"/>
      <c r="F93" s="2"/>
      <c r="G93" s="2"/>
      <c r="H93" s="2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1"/>
    </row>
    <row r="94" spans="1:19" ht="18.75">
      <c r="A94" s="2"/>
      <c r="B94" s="2"/>
      <c r="C94" s="2"/>
      <c r="D94" s="2"/>
      <c r="E94" s="2"/>
      <c r="F94" s="2"/>
      <c r="G94" s="2"/>
      <c r="H94" s="2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1"/>
    </row>
    <row r="95" spans="1:19" ht="18.75">
      <c r="A95" s="2" t="s">
        <v>117</v>
      </c>
      <c r="B95" s="2"/>
      <c r="C95" s="2">
        <f>C44</f>
        <v>359.15</v>
      </c>
      <c r="D95" s="2" t="s">
        <v>114</v>
      </c>
      <c r="E95" s="2"/>
      <c r="F95" s="2"/>
      <c r="G95" s="2"/>
      <c r="H95" s="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1"/>
    </row>
    <row r="96" spans="1:19" ht="18.75">
      <c r="A96" s="2"/>
      <c r="B96" s="2"/>
      <c r="C96" s="2"/>
      <c r="D96" s="2"/>
      <c r="E96" s="2"/>
      <c r="F96" s="2"/>
      <c r="G96" s="2"/>
      <c r="H96" s="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1"/>
    </row>
    <row r="97" spans="1:19" ht="18.75">
      <c r="A97" s="2" t="s">
        <v>118</v>
      </c>
      <c r="B97" s="2"/>
      <c r="C97" s="2"/>
      <c r="D97" s="2"/>
      <c r="E97" s="2"/>
      <c r="F97" s="2"/>
      <c r="G97" s="2"/>
      <c r="H97" s="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1"/>
    </row>
    <row r="98" spans="1:19" ht="18.75">
      <c r="A98" s="2"/>
      <c r="B98" s="2"/>
      <c r="C98" s="2"/>
      <c r="D98" s="2"/>
      <c r="E98" s="2"/>
      <c r="F98" s="2"/>
      <c r="G98" s="2"/>
      <c r="H98" s="2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1"/>
    </row>
    <row r="99" spans="1:19" ht="18.75">
      <c r="A99" s="2"/>
      <c r="B99" s="2"/>
      <c r="C99" s="2"/>
      <c r="D99" s="2"/>
      <c r="E99" s="2"/>
      <c r="F99" s="2"/>
      <c r="G99" s="2"/>
      <c r="H99" s="2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1"/>
    </row>
    <row r="100" spans="1:19" ht="18.75">
      <c r="A100" s="2"/>
      <c r="B100" s="2"/>
      <c r="C100" s="2"/>
      <c r="D100" s="2"/>
      <c r="E100" s="2"/>
      <c r="F100" s="2"/>
      <c r="G100" s="2"/>
      <c r="H100" s="2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1"/>
    </row>
    <row r="101" spans="1:19" ht="18.75">
      <c r="A101" s="2"/>
      <c r="B101" s="2"/>
      <c r="C101" s="2"/>
      <c r="D101" s="2"/>
      <c r="E101" s="2"/>
      <c r="F101" s="2"/>
      <c r="G101" s="2"/>
      <c r="H101" s="2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1"/>
    </row>
    <row r="102" spans="1:19" ht="18.75">
      <c r="A102" s="2"/>
      <c r="B102" s="2"/>
      <c r="C102" s="2"/>
      <c r="D102" s="2"/>
      <c r="E102" s="2"/>
      <c r="F102" s="2"/>
      <c r="G102" s="2"/>
      <c r="H102" s="2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1"/>
    </row>
    <row r="103" spans="1:19" ht="22.5">
      <c r="A103" s="2"/>
      <c r="B103" s="2"/>
      <c r="C103" s="2">
        <f>ROUND(10^5*C83/(8314/C40*C44),2)</f>
        <v>32.24</v>
      </c>
      <c r="D103" s="2" t="s">
        <v>137</v>
      </c>
      <c r="E103" s="2"/>
      <c r="F103" s="2"/>
      <c r="G103" s="2"/>
      <c r="H103" s="2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1"/>
    </row>
    <row r="104" spans="1:19" ht="18.75">
      <c r="A104" s="2"/>
      <c r="B104" s="2"/>
      <c r="C104" s="2"/>
      <c r="D104" s="2"/>
      <c r="E104" s="2"/>
      <c r="F104" s="2"/>
      <c r="G104" s="2"/>
      <c r="H104" s="2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1"/>
    </row>
    <row r="105" spans="1:19" ht="18.75">
      <c r="A105" s="2" t="s">
        <v>119</v>
      </c>
      <c r="B105" s="2"/>
      <c r="C105" s="2"/>
      <c r="D105" s="2"/>
      <c r="E105" s="2" t="s">
        <v>123</v>
      </c>
      <c r="F105" s="2"/>
      <c r="G105" s="2"/>
      <c r="H105" s="2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1"/>
    </row>
    <row r="106" spans="1:19" ht="18.75">
      <c r="A106" s="2"/>
      <c r="B106" s="2"/>
      <c r="C106" s="2"/>
      <c r="D106" s="2"/>
      <c r="E106" s="2"/>
      <c r="F106" s="2"/>
      <c r="G106" s="2"/>
      <c r="H106" s="2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1"/>
    </row>
    <row r="107" spans="1:19" ht="20.25">
      <c r="A107" s="2" t="s">
        <v>120</v>
      </c>
      <c r="B107" s="2"/>
      <c r="C107" s="2">
        <f>ROUND(D16/(C103*F44),2)</f>
        <v>16.32</v>
      </c>
      <c r="D107" s="2" t="s">
        <v>91</v>
      </c>
      <c r="E107" s="2" t="s">
        <v>149</v>
      </c>
      <c r="F107" s="2">
        <f>ROUND(1/SQRT(D11),4)</f>
        <v>0.94920000000000004</v>
      </c>
      <c r="G107" s="2"/>
      <c r="H107" s="2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1"/>
    </row>
    <row r="108" spans="1:19" ht="18.75">
      <c r="A108" s="2"/>
      <c r="B108" s="2"/>
      <c r="C108" s="2"/>
      <c r="D108" s="2"/>
      <c r="E108" s="2"/>
      <c r="F108" s="2"/>
      <c r="G108" s="2"/>
      <c r="H108" s="2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1"/>
    </row>
    <row r="109" spans="1:19"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9:19"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9:19"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9:19"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9:19"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9:19"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9:19"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9:19"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9:19"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9:19"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9:19"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9:19"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9:19"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9:19"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9:19"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9:19"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9:19"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9:19"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9:19"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9:19"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9:19"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9:19" ht="15.75">
      <c r="I133" s="21"/>
      <c r="J133" s="22" t="s">
        <v>152</v>
      </c>
      <c r="K133" s="21"/>
      <c r="L133" s="21"/>
      <c r="M133" s="21"/>
      <c r="N133" s="21"/>
      <c r="O133" s="21"/>
      <c r="P133" s="21"/>
      <c r="Q133" s="21"/>
      <c r="R133" s="21"/>
      <c r="S133" s="21"/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oleObject progId="Equation.DSMT4" shapeId="1034" r:id="rId4"/>
    <oleObject progId="Equation.DSMT4" shapeId="1035" r:id="rId5"/>
    <oleObject progId="Equation.DSMT4" shapeId="1036" r:id="rId6"/>
    <oleObject progId="Visio.Drawing.11" shapeId="1037" r:id="rId7"/>
    <oleObject progId="Equation.DSMT4" shapeId="1038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8" sqref="E1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15-13</vt:lpstr>
      <vt:lpstr>Sheet2</vt:lpstr>
      <vt:lpstr>Sheet3</vt:lpstr>
    </vt:vector>
  </TitlesOfParts>
  <Company>AKC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</dc:creator>
  <cp:lastModifiedBy>dell</cp:lastModifiedBy>
  <cp:lastPrinted>2006-11-20T13:59:08Z</cp:lastPrinted>
  <dcterms:created xsi:type="dcterms:W3CDTF">2000-11-06T18:18:05Z</dcterms:created>
  <dcterms:modified xsi:type="dcterms:W3CDTF">2017-10-05T15:50:49Z</dcterms:modified>
</cp:coreProperties>
</file>